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696" yWindow="0" windowWidth="23256" windowHeight="13176" tabRatio="903" firstSheet="1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<sst xmlns="http://schemas.openxmlformats.org/spreadsheetml/2006/main" count="183" uniqueCount="78">
  <si>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</si>
  <si>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</si>
  <si>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</si>
  <si>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</si>
  <si>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</si>
  <si>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</si>
  <si>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</si>
  <si>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</si>
  <si>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</si>
  <si>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</si>
  <si>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</si>
  <si>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</si>
  <si>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</si>
  <si>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</si>
  <si>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</si>
  <si>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</si>
  <si>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</si>
  <si>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</si>
  <si>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</si>
  <si>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</si>
  <si>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</si>
  <si>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</si>
  <si>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</si>
  <si>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</si>
  <si>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</si>
  <si>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</si>
  <si>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</si>
  <si>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</si>
  <si>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</si>
  <si>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</si>
  <si>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</si>
  <si>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</si>
  <si>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</si>
  <si>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</si>
  <si>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</si>
  <si>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</si>
  <si>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</si>
  <si>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</si>
  <si>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</si>
  <si>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</si>
  <si>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</si>
  <si>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</si>
  <si>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</si>
  <si>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</si>
  <si>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</si>
  <si>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</si>
  <si>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</si>
  <si>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</si>
  <si>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</si>
  <si>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</si>
  <si>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</si>
  <si>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</si>
  <si>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</si>
  <si>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</si>
  <si>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</si>
  <si>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</si>
  <si>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</si>
  <si>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</si>
  <si>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</si>
  <si>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</si>
  <si>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</si>
  <si>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</si>
  <si>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</si>
  <si>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</si>
  <si>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CHATENOY LE ROYAL</t>
  </si>
  <si>
    <t>17-18</t>
  </si>
  <si>
    <t>PISTOLET</t>
  </si>
  <si>
    <t>BOURGOGNE</t>
  </si>
  <si>
    <t>THEVENET THIERRY</t>
  </si>
  <si>
    <t>comitetir71@orange.fr</t>
  </si>
  <si>
    <t>STEP CHALON S/SAONE</t>
  </si>
  <si>
    <t>ALONSO LOUIS</t>
  </si>
  <si>
    <t>CIANNI TYBO</t>
  </si>
  <si>
    <t>BALTAZAR MICKAEL</t>
  </si>
  <si>
    <t>TS CHATENOY LE ROYAL</t>
  </si>
  <si>
    <t>BRANDAO GABIN</t>
  </si>
  <si>
    <t>DRITCH CELESTINE</t>
  </si>
  <si>
    <t>DRITCH MATTEO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</si>
</sst>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xmlns="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xmlns="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xmlns="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xmlns="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xmlns="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xmlns="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xmlns="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xmlns="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xmlns="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xmlns="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xmlns="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xmlns="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xmlns="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xmlns="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2" zoomScaleSheetLayoutView="100" workbookViewId="0">
      <selection activeCell="B4" sqref="B4"/>
    </sheetView>
  </sheetViews>
  <sheetFormatPr baseColWidth="10" defaultColWidth="10.7265625" defaultRowHeight="13.2" x14ac:dyDescent="0.25"/>
  <cols>
    <col min="1" max="1" width="16.453125" style="109" bestFit="1" customWidth="1"/>
    <col min="2" max="2" width="29.7265625" style="109" customWidth="1"/>
    <col min="3" max="3" width="30.90625" style="109" customWidth="1"/>
    <col min="4" max="16384" width="10.7265625" style="109"/>
  </cols>
  <sheetData>
    <row r="1" spans="1:3" ht="97.2" customHeight="1" x14ac:dyDescent="0.25">
      <c r="A1" s="184" t="s">
        <v>3</v>
      </c>
      <c r="B1" s="185"/>
      <c r="C1" s="185"/>
    </row>
    <row r="2" spans="1:3" ht="25.2" customHeight="1" x14ac:dyDescent="0.25">
      <c r="A2" s="186" t="s">
        <v>18</v>
      </c>
      <c r="B2" s="186"/>
      <c r="C2" s="186"/>
    </row>
    <row r="3" spans="1:3" ht="25.2" customHeight="1" x14ac:dyDescent="0.25">
      <c r="A3" s="189" t="s">
        <v>29</v>
      </c>
      <c r="B3" s="189"/>
      <c r="C3" s="189"/>
    </row>
    <row r="4" spans="1:3" ht="25.2" customHeight="1" x14ac:dyDescent="0.25">
      <c r="A4" s="110" t="s">
        <v>5</v>
      </c>
      <c r="B4" s="61">
        <v>41665</v>
      </c>
      <c r="C4" s="111"/>
    </row>
    <row r="5" spans="1:3" ht="25.2" customHeight="1" x14ac:dyDescent="0.25">
      <c r="A5" s="110" t="s">
        <v>46</v>
      </c>
      <c r="B5" s="10" t="s">
        <v>64</v>
      </c>
      <c r="C5" s="111"/>
    </row>
    <row r="6" spans="1:3" ht="25.2" customHeight="1" x14ac:dyDescent="0.25">
      <c r="A6" s="110" t="s">
        <v>49</v>
      </c>
      <c r="B6" s="52" t="s">
        <v>65</v>
      </c>
      <c r="C6" s="111"/>
    </row>
    <row r="7" spans="1:3" ht="25.2" customHeight="1" x14ac:dyDescent="0.25">
      <c r="A7" s="110" t="s">
        <v>0</v>
      </c>
      <c r="B7" s="10" t="s">
        <v>66</v>
      </c>
      <c r="C7" s="111" t="s">
        <v>4</v>
      </c>
    </row>
    <row r="8" spans="1:3" ht="25.2" customHeight="1" x14ac:dyDescent="0.25">
      <c r="A8" s="110" t="s">
        <v>47</v>
      </c>
      <c r="B8" s="15">
        <v>2</v>
      </c>
      <c r="C8" s="111"/>
    </row>
    <row r="9" spans="1:3" ht="25.2" customHeight="1" x14ac:dyDescent="0.25">
      <c r="A9" s="9" t="s">
        <v>31</v>
      </c>
      <c r="B9" s="51" t="s">
        <v>67</v>
      </c>
      <c r="C9" s="111" t="s">
        <v>50</v>
      </c>
    </row>
    <row r="10" spans="1:3" ht="25.2" customHeight="1" x14ac:dyDescent="0.25">
      <c r="A10" s="112"/>
      <c r="B10" s="112"/>
      <c r="C10" s="113"/>
    </row>
    <row r="11" spans="1:3" ht="25.2" customHeight="1" x14ac:dyDescent="0.25">
      <c r="A11" s="189" t="s">
        <v>30</v>
      </c>
      <c r="B11" s="189"/>
      <c r="C11" s="189"/>
    </row>
    <row r="12" spans="1:3" ht="30" customHeight="1" x14ac:dyDescent="0.25">
      <c r="A12" s="110" t="s">
        <v>48</v>
      </c>
      <c r="B12" s="14" t="s">
        <v>68</v>
      </c>
      <c r="C12" s="114"/>
    </row>
    <row r="13" spans="1:3" ht="30" customHeight="1" x14ac:dyDescent="0.25">
      <c r="A13" s="9" t="s">
        <v>26</v>
      </c>
      <c r="B13" s="13">
        <v>685021786</v>
      </c>
      <c r="C13" s="111"/>
    </row>
    <row r="14" spans="1:3" ht="30" customHeight="1" x14ac:dyDescent="0.25">
      <c r="A14" s="9" t="s">
        <v>27</v>
      </c>
      <c r="B14" s="16" t="s">
        <v>69</v>
      </c>
      <c r="C14" s="115"/>
    </row>
    <row r="16" spans="1:3" ht="91.95" customHeight="1" x14ac:dyDescent="0.25">
      <c r="A16" s="187" t="s">
        <v>10</v>
      </c>
      <c r="B16" s="187"/>
      <c r="C16" s="187"/>
    </row>
    <row r="17" spans="1:3" ht="15" customHeight="1" x14ac:dyDescent="0.25">
      <c r="A17" s="190" t="s">
        <v>13</v>
      </c>
      <c r="B17" s="190"/>
      <c r="C17" s="116"/>
    </row>
    <row r="18" spans="1:3" ht="15" customHeight="1" x14ac:dyDescent="0.25">
      <c r="A18" s="191" t="s">
        <v>28</v>
      </c>
      <c r="B18" s="190"/>
      <c r="C18" s="11"/>
    </row>
    <row r="19" spans="1:3" ht="15" customHeight="1" x14ac:dyDescent="0.25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F9" sqref="F9"/>
    </sheetView>
  </sheetViews>
  <sheetFormatPr baseColWidth="10" defaultColWidth="10.7265625" defaultRowHeight="39.6" outlineLevelCol="1" x14ac:dyDescent="0.2"/>
  <cols>
    <col min="1" max="1" width="15.90625" style="3" customWidth="1"/>
    <col min="2" max="2" width="22.26953125" style="63" customWidth="1" outlineLevel="1"/>
    <col min="3" max="3" width="54" style="6" bestFit="1" customWidth="1"/>
    <col min="4" max="4" width="18.7265625" style="6" bestFit="1" customWidth="1"/>
    <col min="5" max="5" width="50.7265625" style="6" customWidth="1"/>
    <col min="6" max="8" width="14.7265625" style="7" customWidth="1"/>
    <col min="9" max="9" width="10.90625" style="7" hidden="1" customWidth="1"/>
    <col min="10" max="10" width="50.453125" style="6" customWidth="1"/>
    <col min="11" max="11" width="14.90625" style="8" customWidth="1"/>
    <col min="12" max="12" width="14.90625" style="7" customWidth="1"/>
    <col min="13" max="13" width="14.453125" style="7" customWidth="1"/>
    <col min="14" max="14" width="10.453125" style="7" hidden="1" customWidth="1"/>
    <col min="15" max="15" width="50.7265625" style="6" customWidth="1"/>
    <col min="16" max="16" width="14.90625" style="7" customWidth="1"/>
    <col min="17" max="17" width="14.90625" style="8" customWidth="1"/>
    <col min="18" max="18" width="14.453125" style="7" customWidth="1"/>
    <col min="19" max="19" width="10.7265625" style="7" hidden="1" customWidth="1"/>
    <col min="20" max="20" width="14.453125" style="7" customWidth="1"/>
    <col min="21" max="21" width="8.453125" style="2" hidden="1" customWidth="1"/>
    <col min="22" max="22" width="4.453125" style="3" customWidth="1"/>
    <col min="23" max="23" width="33.453125" style="63" hidden="1" customWidth="1" outlineLevel="1"/>
    <col min="24" max="24" width="4.453125" style="3" customWidth="1" collapsed="1"/>
    <col min="25" max="25" width="6.90625" style="3" customWidth="1"/>
    <col min="26" max="26" width="3.08984375" style="3" customWidth="1"/>
    <col min="27" max="27" width="1" style="5" customWidth="1"/>
    <col min="28" max="28" width="9.453125" style="3" customWidth="1"/>
    <col min="29" max="29" width="9.7265625" style="3" customWidth="1"/>
    <col min="30" max="16384" width="10.7265625" style="3"/>
  </cols>
  <sheetData>
    <row r="1" spans="1:27" ht="37.950000000000003" customHeight="1" x14ac:dyDescent="0.2">
      <c r="A1" s="192" t="str">
        <f>CONCATENATE(INFO!B7," - ",INFO!B9)</f>
        <v>PISTOLET - BOURGOGNE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5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5" customHeight="1" thickTop="1" x14ac:dyDescent="0.2">
      <c r="A5" s="117">
        <v>1</v>
      </c>
      <c r="B5" s="179">
        <f>RANK(W5,W$5:W$44,0)</f>
        <v>2</v>
      </c>
      <c r="C5" s="71" t="s">
        <v>70</v>
      </c>
      <c r="D5" s="72">
        <v>471126</v>
      </c>
      <c r="E5" s="73" t="s">
        <v>71</v>
      </c>
      <c r="F5" s="140">
        <v>72</v>
      </c>
      <c r="G5" s="140">
        <v>64</v>
      </c>
      <c r="H5" s="141">
        <f t="shared" ref="H5:H44" si="0">SUM(F5:G5)</f>
        <v>136</v>
      </c>
      <c r="I5" s="74"/>
      <c r="J5" s="73" t="s">
        <v>72</v>
      </c>
      <c r="K5" s="140">
        <v>72</v>
      </c>
      <c r="L5" s="140">
        <v>74</v>
      </c>
      <c r="M5" s="141">
        <f t="shared" ref="M5:M44" si="1">SUM(K5:L5)</f>
        <v>146</v>
      </c>
      <c r="N5" s="74"/>
      <c r="O5" s="73" t="s">
        <v>73</v>
      </c>
      <c r="P5" s="140">
        <v>64</v>
      </c>
      <c r="Q5" s="140">
        <v>72</v>
      </c>
      <c r="R5" s="141">
        <f t="shared" ref="R5:R44" si="2">SUM(P5:Q5)</f>
        <v>136</v>
      </c>
      <c r="S5" s="74"/>
      <c r="T5" s="146">
        <f t="shared" ref="T5:T44" si="3">SUM(H5+M5+R5)</f>
        <v>418</v>
      </c>
      <c r="U5" s="120">
        <f>I5+N5+S5</f>
        <v>0</v>
      </c>
      <c r="W5" s="172">
        <f>H5+M5+R5+(0.000001*(I5+N5+S5))+(0.000000001*(G5+L5+Q5))</f>
        <v>418.00000021</v>
      </c>
    </row>
    <row r="6" spans="1:27" s="4" customFormat="1" ht="46.95" customHeight="1" x14ac:dyDescent="0.2">
      <c r="A6" s="118">
        <v>2</v>
      </c>
      <c r="B6" s="180">
        <f t="shared" ref="B6:B44" si="4">RANK(W6,W$5:W$44,0)</f>
        <v>1</v>
      </c>
      <c r="C6" s="62" t="s">
        <v>74</v>
      </c>
      <c r="D6" s="64">
        <v>471185</v>
      </c>
      <c r="E6" s="67" t="s">
        <v>75</v>
      </c>
      <c r="F6" s="142">
        <v>82</v>
      </c>
      <c r="G6" s="142">
        <v>83</v>
      </c>
      <c r="H6" s="143">
        <f t="shared" si="0"/>
        <v>165</v>
      </c>
      <c r="I6" s="68"/>
      <c r="J6" s="67" t="s">
        <v>76</v>
      </c>
      <c r="K6" s="142">
        <v>86</v>
      </c>
      <c r="L6" s="142">
        <v>81</v>
      </c>
      <c r="M6" s="143">
        <f t="shared" si="1"/>
        <v>167</v>
      </c>
      <c r="N6" s="68"/>
      <c r="O6" s="67" t="s">
        <v>77</v>
      </c>
      <c r="P6" s="142">
        <v>85</v>
      </c>
      <c r="Q6" s="142">
        <v>79</v>
      </c>
      <c r="R6" s="143">
        <f t="shared" si="2"/>
        <v>164</v>
      </c>
      <c r="S6" s="68"/>
      <c r="T6" s="147">
        <f t="shared" si="3"/>
        <v>496</v>
      </c>
      <c r="U6" s="121">
        <f t="shared" ref="U6:U44" si="5">I6+N6+S6</f>
        <v>0</v>
      </c>
      <c r="W6" s="172">
        <f t="shared" ref="W6:W44" si="6">H6+M6+R6+(0.000001*(I6+N6+S6))+(0.000000001*(G6+L6+Q6))</f>
        <v>496.00000024299999</v>
      </c>
    </row>
    <row r="7" spans="1:27" s="4" customFormat="1" ht="46.95" customHeight="1" x14ac:dyDescent="0.2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6.95" customHeight="1" x14ac:dyDescent="0.2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6.95" customHeight="1" x14ac:dyDescent="0.2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5" customHeight="1" x14ac:dyDescent="0.2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5" customHeight="1" x14ac:dyDescent="0.2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5" customHeight="1" x14ac:dyDescent="0.2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5" customHeight="1" x14ac:dyDescent="0.2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5" customHeight="1" x14ac:dyDescent="0.2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5" customHeight="1" x14ac:dyDescent="0.2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5" customHeight="1" x14ac:dyDescent="0.2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5" customHeight="1" x14ac:dyDescent="0.2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5" customHeight="1" x14ac:dyDescent="0.2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5" customHeight="1" x14ac:dyDescent="0.2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5" customHeight="1" x14ac:dyDescent="0.2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5" customHeight="1" x14ac:dyDescent="0.2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5" customHeight="1" x14ac:dyDescent="0.2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5" customHeight="1" x14ac:dyDescent="0.2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5" customHeight="1" x14ac:dyDescent="0.2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5" customHeight="1" x14ac:dyDescent="0.2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5" customHeight="1" x14ac:dyDescent="0.2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5" customHeight="1" x14ac:dyDescent="0.2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5" customHeight="1" x14ac:dyDescent="0.2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5" customHeight="1" x14ac:dyDescent="0.2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5" customHeight="1" x14ac:dyDescent="0.2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5" customHeight="1" x14ac:dyDescent="0.2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5" customHeight="1" x14ac:dyDescent="0.2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5" customHeight="1" x14ac:dyDescent="0.2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5" customHeight="1" x14ac:dyDescent="0.2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5" customHeight="1" x14ac:dyDescent="0.2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5" customHeight="1" x14ac:dyDescent="0.2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5" customHeight="1" x14ac:dyDescent="0.2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5" customHeight="1" x14ac:dyDescent="0.2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5" customHeight="1" x14ac:dyDescent="0.2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5" customHeight="1" x14ac:dyDescent="0.2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5" customHeight="1" x14ac:dyDescent="0.2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5" customHeight="1" x14ac:dyDescent="0.2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5" customHeight="1" x14ac:dyDescent="0.2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5" customHeight="1" thickBot="1" x14ac:dyDescent="0.25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0.200000000000003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topLeftCell="A16" zoomScale="35" zoomScaleNormal="35" zoomScaleSheetLayoutView="40" zoomScalePageLayoutView="35" workbookViewId="0"/>
  </sheetViews>
  <sheetFormatPr baseColWidth="10" defaultColWidth="10.7265625" defaultRowHeight="39.6" x14ac:dyDescent="0.2"/>
  <cols>
    <col min="1" max="1" width="15.90625" style="81" customWidth="1"/>
    <col min="2" max="2" width="54.453125" style="90" bestFit="1" customWidth="1"/>
    <col min="3" max="3" width="21.08984375" style="90" customWidth="1"/>
    <col min="4" max="4" width="50.7265625" style="90" customWidth="1"/>
    <col min="5" max="7" width="14.453125" style="91" customWidth="1"/>
    <col min="8" max="8" width="8.984375E-2" style="91" customWidth="1"/>
    <col min="9" max="9" width="50.453125" style="90" customWidth="1"/>
    <col min="10" max="10" width="14.453125" style="92" customWidth="1"/>
    <col min="11" max="11" width="14.453125" style="91" customWidth="1"/>
    <col min="12" max="12" width="14" style="91" customWidth="1"/>
    <col min="13" max="13" width="10.453125" style="91" hidden="1" customWidth="1"/>
    <col min="14" max="14" width="50.7265625" style="90" customWidth="1"/>
    <col min="15" max="15" width="14.7265625" style="91" customWidth="1"/>
    <col min="16" max="16" width="14.7265625" style="92" customWidth="1"/>
    <col min="17" max="17" width="14.7265625" style="91" customWidth="1"/>
    <col min="18" max="18" width="10.7265625" style="91" hidden="1" customWidth="1"/>
    <col min="19" max="19" width="15.08984375" style="91" customWidth="1"/>
    <col min="20" max="20" width="8.453125" style="93" hidden="1" customWidth="1"/>
    <col min="21" max="21" width="4.453125" style="81" customWidth="1"/>
    <col min="22" max="22" width="19.08984375" style="81" customWidth="1"/>
    <col min="23" max="23" width="4.453125" style="81" customWidth="1"/>
    <col min="24" max="24" width="6.90625" style="81" customWidth="1"/>
    <col min="25" max="25" width="3.08984375" style="81" customWidth="1"/>
    <col min="26" max="26" width="1" style="82" customWidth="1"/>
    <col min="27" max="27" width="9.453125" style="81" customWidth="1"/>
    <col min="28" max="28" width="9.7265625" style="81" customWidth="1"/>
    <col min="29" max="16384" width="10.7265625" style="81"/>
  </cols>
  <sheetData>
    <row r="1" spans="1:26" ht="145.9499999999999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5" customHeight="1" x14ac:dyDescent="0.2">
      <c r="A2" s="210" t="str">
        <f>CONCATENATE("MATCH DE QUALIFICATION"," - ",INFO!B7," - ",INFO!B9)</f>
        <v>MATCH DE QUALIFICATION - PISTOLET - BOURGOGNE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5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5" customHeight="1" x14ac:dyDescent="0.2">
      <c r="A5" s="85">
        <v>1</v>
      </c>
      <c r="B5" s="139" t="str">
        <f>VLOOKUP(A5,saisie!B$5:W$44,2,0)</f>
        <v>TS CHATENOY LE ROYAL</v>
      </c>
      <c r="C5" s="86">
        <f>VLOOKUP(A5,saisie!B$5:W$44,3,0)</f>
        <v>471185</v>
      </c>
      <c r="D5" s="83" t="str">
        <f>VLOOKUP(A5,saisie!B$5:W$44,4,0)</f>
        <v>BRANDAO GABIN</v>
      </c>
      <c r="E5" s="149">
        <f>VLOOKUP(A5,saisie!B$5:W$44,5,0)</f>
        <v>82</v>
      </c>
      <c r="F5" s="149">
        <f>VLOOKUP(A5,saisie!B$5:W$44,6,0)</f>
        <v>83</v>
      </c>
      <c r="G5" s="150">
        <f t="shared" ref="G5:G44" si="0">SUM(E5:F5)</f>
        <v>165</v>
      </c>
      <c r="H5" s="87">
        <f>VLOOKUP(A5,saisie!B$5:W$44,8,0)</f>
        <v>0</v>
      </c>
      <c r="I5" s="83" t="str">
        <f>VLOOKUP(A5,saisie!B$5:W$44,9,0)</f>
        <v>DRITCH CELESTINE</v>
      </c>
      <c r="J5" s="149">
        <f>VLOOKUP(A5,saisie!B$5:W$44,10,0)</f>
        <v>86</v>
      </c>
      <c r="K5" s="149">
        <f>VLOOKUP(A5,saisie!B$5:W$44,11,0)</f>
        <v>81</v>
      </c>
      <c r="L5" s="150">
        <f t="shared" ref="L5:L44" si="1">SUM(J5:K5)</f>
        <v>167</v>
      </c>
      <c r="M5" s="87">
        <f>VLOOKUP(A5,saisie!B$5:W$44,13,0)</f>
        <v>0</v>
      </c>
      <c r="N5" s="83" t="str">
        <f>VLOOKUP(A5,saisie!B$5:W$44,14,0)</f>
        <v>DRITCH MATTEO</v>
      </c>
      <c r="O5" s="149">
        <f>VLOOKUP(A5,saisie!B$5:W$44,15,0)</f>
        <v>85</v>
      </c>
      <c r="P5" s="149">
        <f>VLOOKUP(A5,saisie!B$5:W$44,16,0)</f>
        <v>79</v>
      </c>
      <c r="Q5" s="150">
        <f t="shared" ref="Q5:Q44" si="2">SUM(O5:P5)</f>
        <v>164</v>
      </c>
      <c r="R5" s="87">
        <f>VLOOKUP(A5,saisie!B$5:W$44,18,0)</f>
        <v>0</v>
      </c>
      <c r="S5" s="151">
        <f t="shared" ref="S5:S44" si="3">SUM(G5+L5+Q5)</f>
        <v>496</v>
      </c>
      <c r="T5" s="88">
        <f>VLOOKUP(A5,saisie!B$5:W$44,20,0)</f>
        <v>0</v>
      </c>
    </row>
    <row r="6" spans="1:26" s="89" customFormat="1" ht="46.95" customHeight="1" x14ac:dyDescent="0.2">
      <c r="A6" s="85">
        <f>IF(INFO!B8&gt;1,2,"")</f>
        <v>2</v>
      </c>
      <c r="B6" s="139" t="str">
        <f>VLOOKUP(A6,saisie!B$5:W$44,2,0)</f>
        <v>STEP CHALON S/SAONE</v>
      </c>
      <c r="C6" s="86">
        <f>VLOOKUP(A6,saisie!B$5:W$44,3,0)</f>
        <v>471126</v>
      </c>
      <c r="D6" s="83" t="str">
        <f>VLOOKUP(A6,saisie!B$5:W$44,4,0)</f>
        <v>ALONSO LOUIS</v>
      </c>
      <c r="E6" s="149">
        <f>VLOOKUP(A6,saisie!B$5:W$44,5,0)</f>
        <v>72</v>
      </c>
      <c r="F6" s="149">
        <f>VLOOKUP(A6,saisie!B$5:W$44,6,0)</f>
        <v>64</v>
      </c>
      <c r="G6" s="150">
        <f t="shared" si="0"/>
        <v>136</v>
      </c>
      <c r="H6" s="87">
        <f>VLOOKUP(A6,saisie!B$5:W$44,8,0)</f>
        <v>0</v>
      </c>
      <c r="I6" s="83" t="str">
        <f>VLOOKUP(A6,saisie!B$5:W$44,9,0)</f>
        <v>CIANNI TYBO</v>
      </c>
      <c r="J6" s="149">
        <f>VLOOKUP(A6,saisie!B$5:W$44,10,0)</f>
        <v>72</v>
      </c>
      <c r="K6" s="149">
        <f>VLOOKUP(A6,saisie!B$5:W$44,11,0)</f>
        <v>74</v>
      </c>
      <c r="L6" s="150">
        <f t="shared" si="1"/>
        <v>146</v>
      </c>
      <c r="M6" s="87">
        <f>VLOOKUP(A6,saisie!B$5:W$44,13,0)</f>
        <v>0</v>
      </c>
      <c r="N6" s="83" t="str">
        <f>VLOOKUP(A6,saisie!B$5:W$44,14,0)</f>
        <v>BALTAZAR MICKAEL</v>
      </c>
      <c r="O6" s="149">
        <f>VLOOKUP(A6,saisie!B$5:W$44,15,0)</f>
        <v>64</v>
      </c>
      <c r="P6" s="149">
        <f>VLOOKUP(A6,saisie!B$5:W$44,16,0)</f>
        <v>72</v>
      </c>
      <c r="Q6" s="150">
        <f t="shared" si="2"/>
        <v>136</v>
      </c>
      <c r="R6" s="87">
        <f>VLOOKUP(A6,saisie!B$5:W$44,18,0)</f>
        <v>0</v>
      </c>
      <c r="S6" s="151">
        <f t="shared" si="3"/>
        <v>418</v>
      </c>
      <c r="T6" s="88">
        <f>VLOOKUP(A6,saisie!B$5:W$44,20,0)</f>
        <v>0</v>
      </c>
    </row>
    <row r="7" spans="1:26" s="89" customFormat="1" ht="46.95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6.95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6.95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5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5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5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5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5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5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5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5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5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5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5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5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5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5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5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5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5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5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5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5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5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5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5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5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5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5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5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5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5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5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5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5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5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5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5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90625" defaultRowHeight="15" x14ac:dyDescent="0.2"/>
  <cols>
    <col min="1" max="1" width="6.90625" style="1" customWidth="1"/>
    <col min="2" max="2" width="20.7265625" style="1" customWidth="1"/>
    <col min="3" max="5" width="9.26953125" style="1" customWidth="1"/>
    <col min="6" max="6" width="6.7265625" style="1" customWidth="1"/>
    <col min="7" max="7" width="20.7265625" style="1" customWidth="1"/>
    <col min="8" max="10" width="9.26953125" style="1" customWidth="1"/>
    <col min="11" max="11" width="6.7265625" style="1" customWidth="1"/>
    <col min="12" max="12" width="20.7265625" style="1" customWidth="1"/>
    <col min="13" max="15" width="9.26953125" style="1" customWidth="1"/>
    <col min="16" max="16" width="6.7265625" style="1" customWidth="1"/>
    <col min="17" max="17" width="20.7265625" style="1" customWidth="1"/>
    <col min="18" max="20" width="9.26953125" style="1" customWidth="1"/>
    <col min="21" max="16384" width="6.90625" style="1"/>
  </cols>
  <sheetData>
    <row r="1" spans="1:22" ht="40.200000000000003" customHeight="1" x14ac:dyDescent="0.2">
      <c r="A1" s="17"/>
      <c r="B1" s="220" t="str">
        <f>CONCATENATE(INFO!B7,"    ",INFO!B9)</f>
        <v>PISTOLET    BOURGOGNE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5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2" customHeight="1" thickBot="1" x14ac:dyDescent="0.25">
      <c r="A4" s="32"/>
      <c r="B4" s="152" t="s">
        <v>1</v>
      </c>
      <c r="C4" s="218" t="str">
        <f>'M Q'!B5</f>
        <v>TS CHATENOY LE ROYAL</v>
      </c>
      <c r="D4" s="219"/>
      <c r="E4" s="153">
        <f>'M Q'!S5</f>
        <v>496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2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2" customHeight="1" x14ac:dyDescent="0.2">
      <c r="A6" s="31"/>
      <c r="B6" s="159" t="str">
        <f>'M Q'!D5</f>
        <v>BRANDAO GABIN</v>
      </c>
      <c r="C6" s="160">
        <f>'M Q'!E5</f>
        <v>82</v>
      </c>
      <c r="D6" s="161">
        <f>'M Q'!F5</f>
        <v>83</v>
      </c>
      <c r="E6" s="159">
        <f>SUM(C6:D6)</f>
        <v>165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2" customHeight="1" x14ac:dyDescent="0.2">
      <c r="A7" s="31"/>
      <c r="B7" s="162" t="str">
        <f>'M Q'!I5</f>
        <v>DRITCH CELESTINE</v>
      </c>
      <c r="C7" s="163">
        <f>'M Q'!J5</f>
        <v>86</v>
      </c>
      <c r="D7" s="164">
        <f>'M Q'!K5</f>
        <v>81</v>
      </c>
      <c r="E7" s="162">
        <f>SUM(C7:D7)</f>
        <v>167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2" customHeight="1" thickBot="1" x14ac:dyDescent="0.25">
      <c r="A8" s="31"/>
      <c r="B8" s="165" t="str">
        <f>'M Q'!N5</f>
        <v>DRITCH MATTEO</v>
      </c>
      <c r="C8" s="166">
        <f>'M Q'!O5</f>
        <v>85</v>
      </c>
      <c r="D8" s="167">
        <f>'M Q'!P5</f>
        <v>79</v>
      </c>
      <c r="E8" s="165">
        <f>SUM(C8:D8)</f>
        <v>164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2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2" customHeight="1" thickBot="1" x14ac:dyDescent="0.25">
      <c r="A10" s="34"/>
      <c r="B10" s="152" t="s">
        <v>2</v>
      </c>
      <c r="C10" s="218" t="str">
        <f>'M Q'!B6</f>
        <v>STEP CHALON S/SAONE</v>
      </c>
      <c r="D10" s="219"/>
      <c r="E10" s="153">
        <f>'M Q'!S6</f>
        <v>418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2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2" customHeight="1" x14ac:dyDescent="0.2">
      <c r="A12" s="31"/>
      <c r="B12" s="159" t="str">
        <f>'M Q'!D6</f>
        <v>ALONSO LOUIS</v>
      </c>
      <c r="C12" s="160">
        <f>'M Q'!E6</f>
        <v>72</v>
      </c>
      <c r="D12" s="161">
        <f>'M Q'!F6</f>
        <v>64</v>
      </c>
      <c r="E12" s="159">
        <f>SUM(C12:D12)</f>
        <v>136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2" customHeight="1" x14ac:dyDescent="0.2">
      <c r="A13" s="31"/>
      <c r="B13" s="162" t="str">
        <f>'M Q'!I6</f>
        <v>CIANNI TYBO</v>
      </c>
      <c r="C13" s="163">
        <f>'M Q'!J6</f>
        <v>72</v>
      </c>
      <c r="D13" s="164">
        <f>'M Q'!K6</f>
        <v>74</v>
      </c>
      <c r="E13" s="162">
        <f>SUM(C13:D13)</f>
        <v>146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2" customHeight="1" thickBot="1" x14ac:dyDescent="0.25">
      <c r="A14" s="31"/>
      <c r="B14" s="165" t="str">
        <f>'M Q'!N6</f>
        <v>BALTAZAR MICKAEL</v>
      </c>
      <c r="C14" s="166">
        <f>'M Q'!O6</f>
        <v>64</v>
      </c>
      <c r="D14" s="167">
        <f>'M Q'!P6</f>
        <v>72</v>
      </c>
      <c r="E14" s="165">
        <f>SUM(C14:D14)</f>
        <v>136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2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2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2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2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2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2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2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2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2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2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2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2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95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5" activePane="bottomLeft" state="frozenSplit"/>
      <selection sqref="A1:C1"/>
      <selection pane="bottomLeft" activeCell="E5" sqref="E5"/>
    </sheetView>
  </sheetViews>
  <sheetFormatPr baseColWidth="10" defaultColWidth="8.08984375" defaultRowHeight="28.2" customHeight="1" outlineLevelRow="2" x14ac:dyDescent="0.2"/>
  <cols>
    <col min="1" max="1" width="8.08984375" style="25" customWidth="1"/>
    <col min="2" max="2" width="10.7265625" style="25" customWidth="1"/>
    <col min="3" max="4" width="8.08984375" style="25" customWidth="1"/>
    <col min="5" max="6" width="6.7265625" style="25" customWidth="1"/>
    <col min="7" max="8" width="8.08984375" style="25" customWidth="1"/>
    <col min="9" max="9" width="10.7265625" style="25" customWidth="1"/>
    <col min="10" max="11" width="8.08984375" style="25" customWidth="1"/>
    <col min="12" max="12" width="10.7265625" style="25" customWidth="1"/>
    <col min="13" max="14" width="8.08984375" style="25" customWidth="1"/>
    <col min="15" max="16" width="6.7265625" style="25" customWidth="1"/>
    <col min="17" max="18" width="8.08984375" style="25" customWidth="1"/>
    <col min="19" max="19" width="10.7265625" style="25" customWidth="1"/>
    <col min="20" max="16384" width="8.08984375" style="25"/>
  </cols>
  <sheetData>
    <row r="1" spans="1:22" ht="49.95" customHeight="1" x14ac:dyDescent="0.2">
      <c r="A1" s="257" t="str">
        <f>INFO!B7</f>
        <v>PISTOLET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.2" customHeight="1" outlineLevel="1" thickBot="1" x14ac:dyDescent="0.25">
      <c r="B4" s="263" t="str">
        <f>'Clb Q'!C4</f>
        <v>TS CHATENOY LE ROYAL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.2" customHeight="1" outlineLevel="2" x14ac:dyDescent="0.2">
      <c r="B5" s="250" t="str">
        <f>'Clb Q'!B6</f>
        <v>BRANDAO GABIN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.2" customHeight="1" outlineLevel="2" x14ac:dyDescent="0.2">
      <c r="B6" s="250" t="str">
        <f>'Clb Q'!B7</f>
        <v>DRITCH CELESTINE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.2" customHeight="1" outlineLevel="2" thickBot="1" x14ac:dyDescent="0.25">
      <c r="B7" s="250" t="str">
        <f>'Clb Q'!B8</f>
        <v>DRITCH MATTEO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.2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.2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.2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.2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.2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.2" customHeight="1" outlineLevel="1" thickBot="1" x14ac:dyDescent="0.25">
      <c r="J13" s="28"/>
      <c r="K13" s="28"/>
      <c r="U13" s="30"/>
    </row>
    <row r="14" spans="1:22" s="38" customFormat="1" ht="28.2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2.2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2.2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2.2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2.2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.2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.2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.2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.2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.2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.2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.2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.2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.2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.2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.2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.2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.2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2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STEP CHALON S/SAONE</v>
      </c>
      <c r="R36" s="264"/>
      <c r="S36" s="265"/>
      <c r="U36" s="42"/>
    </row>
    <row r="37" spans="1:21" s="36" customFormat="1" ht="22.2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ALONSO LOUIS</v>
      </c>
      <c r="R37" s="251"/>
      <c r="S37" s="252"/>
      <c r="U37" s="43"/>
    </row>
    <row r="38" spans="1:21" s="36" customFormat="1" ht="22.2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CIANNI TYBO</v>
      </c>
      <c r="R38" s="251"/>
      <c r="S38" s="252"/>
      <c r="U38" s="43"/>
    </row>
    <row r="39" spans="1:21" s="36" customFormat="1" ht="22.2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BALTAZAR MICKAEL</v>
      </c>
      <c r="R39" s="251"/>
      <c r="S39" s="252"/>
      <c r="U39" s="43"/>
    </row>
    <row r="40" spans="1:21" ht="22.2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.2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.2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.2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.2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.2" customHeight="1" thickBot="1" x14ac:dyDescent="0.25">
      <c r="B46" s="244" t="str">
        <f>IF(G4="",B4,IF(B8="","",IF(B8&gt;2,B4,IF(H8&gt;2,G4,""))))</f>
        <v>TS CHATENOY LE ROYAL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.2" customHeight="1" outlineLevel="1" x14ac:dyDescent="0.2">
      <c r="B47" s="247" t="str">
        <f>IF(G4="",B5,IF(B8="","",IF(B8&gt;2,B5,IF(H8&gt;2,G5,""))))</f>
        <v>BRANDAO GABIN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.2" customHeight="1" outlineLevel="1" x14ac:dyDescent="0.2">
      <c r="B48" s="247" t="str">
        <f>IF(G4="",B6,IF(B8="","",IF(B8&gt;2,B6,IF(H8&gt;2,G6,""))))</f>
        <v>DRITCH CELESTINE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.2" customHeight="1" outlineLevel="1" thickBot="1" x14ac:dyDescent="0.25">
      <c r="B49" s="247" t="str">
        <f>IF(G4="",B7,IF(B8="","",IF(B8&gt;2,B7,IF(H8&gt;2,G7,""))))</f>
        <v>DRITCH MATTEO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.2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.2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.2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.2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.2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2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STEP CHALON S/SAONE</v>
      </c>
      <c r="R56" s="245"/>
      <c r="S56" s="246"/>
      <c r="U56" s="42"/>
    </row>
    <row r="57" spans="1:21" s="36" customFormat="1" ht="22.2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ALONSO LOUIS</v>
      </c>
      <c r="R57" s="248"/>
      <c r="S57" s="249"/>
      <c r="U57" s="43"/>
    </row>
    <row r="58" spans="1:21" s="36" customFormat="1" ht="22.2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CIANNI TYBO</v>
      </c>
      <c r="R58" s="248"/>
      <c r="S58" s="249"/>
      <c r="U58" s="43"/>
    </row>
    <row r="59" spans="1:21" s="36" customFormat="1" ht="22.2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BALTAZAR MICKAEL</v>
      </c>
      <c r="R59" s="248"/>
      <c r="S59" s="249"/>
      <c r="U59" s="43"/>
    </row>
    <row r="60" spans="1:21" ht="22.2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.2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.2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.2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.2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.2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.2" customHeight="1" thickBot="1" x14ac:dyDescent="0.25">
      <c r="B67" s="241" t="str">
        <f>IF(G46="",B46,IF(B50="","",IF(H50="","",IF(B50&gt;2,B46,IF(H50&gt;2,G46,"")))))</f>
        <v>TS CHATENOY LE ROYAL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STEP CHALON S/SAONE</v>
      </c>
      <c r="R67" s="242"/>
      <c r="S67" s="243"/>
    </row>
    <row r="68" spans="1:21" s="36" customFormat="1" ht="22.2" customHeight="1" outlineLevel="1" x14ac:dyDescent="0.2">
      <c r="B68" s="275" t="str">
        <f>IF(G46="",B47,IF(B50="","",IF(H50="","",IF(B50&gt;2,B47,IF(H50&gt;2,G47,"")))))</f>
        <v>BRANDAO GABIN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ALONSO LOUIS</v>
      </c>
      <c r="R68" s="276"/>
      <c r="S68" s="277"/>
    </row>
    <row r="69" spans="1:21" s="36" customFormat="1" ht="22.2" customHeight="1" outlineLevel="1" x14ac:dyDescent="0.2">
      <c r="B69" s="275" t="str">
        <f>IF(G46="",B48,IF(B50="","",IF(H50="","",IF(B50&gt;2,B48,IF(H50&gt;2,G48,"")))))</f>
        <v>DRITCH CELESTINE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CIANNI TYBO</v>
      </c>
      <c r="R69" s="276"/>
      <c r="S69" s="277"/>
    </row>
    <row r="70" spans="1:21" s="36" customFormat="1" ht="22.2" customHeight="1" outlineLevel="1" thickBot="1" x14ac:dyDescent="0.25">
      <c r="B70" s="275" t="str">
        <f>IF(G46="",B49,IF(B50="","",IF(H50="","",IF(B50&gt;2,B49,IF(H50&gt;2,G49,"")))))</f>
        <v>DRITCH MATTEO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BALTAZAR MICKAEL</v>
      </c>
      <c r="R70" s="276"/>
      <c r="S70" s="277"/>
    </row>
    <row r="71" spans="1:21" ht="22.2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2.2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2.2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2.2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2.2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2.2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2.2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.2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2.2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2.2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2.2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2.2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2.2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2.2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2.2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2.2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2.2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.2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.2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2" customHeight="1" thickBot="1" x14ac:dyDescent="0.25">
      <c r="F94" s="39"/>
      <c r="G94" s="238" t="str">
        <f>IF(G67="",B67,IF(B71="","",IF(H71="","",IF(B71&gt;3,B67,IF(H71&gt;3,G67,"")))))</f>
        <v>TS CHATENOY LE ROYAL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STEP CHALON S/SAONE</v>
      </c>
      <c r="M94" s="239"/>
      <c r="N94" s="240"/>
      <c r="O94" s="38"/>
    </row>
    <row r="95" spans="6:21" ht="19.95" customHeight="1" outlineLevel="1" x14ac:dyDescent="0.2">
      <c r="F95" s="35"/>
      <c r="G95" s="235" t="str">
        <f>IF(G67="",B68,IF(B71="","",IF(H71="","",IF(B71&gt;3,B68,IF(H71&gt;3,G68,"")))))</f>
        <v>BRANDAO GABIN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ALONSO LOUIS</v>
      </c>
      <c r="M95" s="236"/>
      <c r="N95" s="237"/>
      <c r="O95" s="36"/>
    </row>
    <row r="96" spans="6:21" ht="19.95" customHeight="1" outlineLevel="1" x14ac:dyDescent="0.2">
      <c r="F96" s="35"/>
      <c r="G96" s="235" t="str">
        <f>IF(G67="",B69,IF(B71="","",IF(H71="","",IF(B71&gt;3,B69,IF(H71&gt;3,G69,"")))))</f>
        <v>DRITCH CELESTINE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CIANNI TYBO</v>
      </c>
      <c r="M96" s="236"/>
      <c r="N96" s="237"/>
      <c r="O96" s="36"/>
    </row>
    <row r="97" spans="5:15" ht="19.95" customHeight="1" outlineLevel="1" thickBot="1" x14ac:dyDescent="0.25">
      <c r="F97" s="35"/>
      <c r="G97" s="235" t="str">
        <f>IF(G67="",B70,IF(B71="","",IF(H71="","",IF(B71&gt;3,B70,IF(H71&gt;3,G70,"")))))</f>
        <v>DRITCH MATTEO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BALTAZAR MICKAEL</v>
      </c>
      <c r="M97" s="236"/>
      <c r="N97" s="237"/>
      <c r="O97" s="36"/>
    </row>
    <row r="98" spans="5:15" ht="22.2" customHeight="1" x14ac:dyDescent="0.2">
      <c r="E98" s="30"/>
      <c r="F98" s="44">
        <f>IF(I98="","",IF(I98&gt;1,1,0))</f>
        <v>1</v>
      </c>
      <c r="G98" s="254">
        <f>IF(I98="","",SUM(F98:F104))</f>
        <v>5</v>
      </c>
      <c r="H98" s="266"/>
      <c r="I98" s="78">
        <v>3</v>
      </c>
      <c r="J98" s="226"/>
      <c r="K98" s="227"/>
      <c r="L98" s="78">
        <v>0</v>
      </c>
      <c r="M98" s="253">
        <f>IF(L98="","",SUM(O98:O104))</f>
        <v>2</v>
      </c>
      <c r="N98" s="254"/>
      <c r="O98" s="41">
        <f>IF(L98="","",IF(L98&gt;1,1,0))</f>
        <v>0</v>
      </c>
    </row>
    <row r="99" spans="5:15" ht="22.2" customHeight="1" x14ac:dyDescent="0.2">
      <c r="E99" s="30"/>
      <c r="F99" s="44">
        <f t="shared" ref="F99:F104" si="6">IF(I99="","",IF(I99&gt;1,1,0))</f>
        <v>1</v>
      </c>
      <c r="G99" s="256"/>
      <c r="H99" s="267"/>
      <c r="I99" s="79">
        <v>2</v>
      </c>
      <c r="J99" s="222"/>
      <c r="K99" s="223"/>
      <c r="L99" s="79">
        <v>1</v>
      </c>
      <c r="M99" s="255"/>
      <c r="N99" s="256"/>
      <c r="O99" s="41">
        <f t="shared" ref="O99:O104" si="7">IF(L99="","",IF(L99&gt;1,1,0))</f>
        <v>0</v>
      </c>
    </row>
    <row r="100" spans="5:15" ht="22.2" customHeight="1" x14ac:dyDescent="0.2">
      <c r="E100" s="30"/>
      <c r="F100" s="44">
        <f t="shared" si="6"/>
        <v>1</v>
      </c>
      <c r="G100" s="256"/>
      <c r="H100" s="267"/>
      <c r="I100" s="79">
        <v>3</v>
      </c>
      <c r="J100" s="222"/>
      <c r="K100" s="223"/>
      <c r="L100" s="79">
        <v>0</v>
      </c>
      <c r="M100" s="255"/>
      <c r="N100" s="256"/>
      <c r="O100" s="41">
        <f t="shared" si="7"/>
        <v>0</v>
      </c>
    </row>
    <row r="101" spans="5:15" ht="22.2" customHeight="1" x14ac:dyDescent="0.2">
      <c r="E101" s="30"/>
      <c r="F101" s="44">
        <f t="shared" si="6"/>
        <v>1</v>
      </c>
      <c r="G101" s="256"/>
      <c r="H101" s="267"/>
      <c r="I101" s="79">
        <v>2</v>
      </c>
      <c r="J101" s="222"/>
      <c r="K101" s="223"/>
      <c r="L101" s="79">
        <v>1</v>
      </c>
      <c r="M101" s="255"/>
      <c r="N101" s="256"/>
      <c r="O101" s="41">
        <f t="shared" si="7"/>
        <v>0</v>
      </c>
    </row>
    <row r="102" spans="5:15" ht="22.2" customHeight="1" x14ac:dyDescent="0.2">
      <c r="E102" s="30"/>
      <c r="F102" s="44">
        <f t="shared" si="6"/>
        <v>0</v>
      </c>
      <c r="G102" s="256"/>
      <c r="H102" s="267"/>
      <c r="I102" s="79">
        <v>1</v>
      </c>
      <c r="J102" s="222"/>
      <c r="K102" s="223"/>
      <c r="L102" s="79">
        <v>2</v>
      </c>
      <c r="M102" s="255"/>
      <c r="N102" s="256"/>
      <c r="O102" s="41">
        <f t="shared" si="7"/>
        <v>1</v>
      </c>
    </row>
    <row r="103" spans="5:15" ht="22.2" customHeight="1" x14ac:dyDescent="0.2">
      <c r="E103" s="30"/>
      <c r="F103" s="44">
        <f t="shared" si="6"/>
        <v>1</v>
      </c>
      <c r="G103" s="256"/>
      <c r="H103" s="267"/>
      <c r="I103" s="79">
        <v>2</v>
      </c>
      <c r="J103" s="222"/>
      <c r="K103" s="223"/>
      <c r="L103" s="79">
        <v>1</v>
      </c>
      <c r="M103" s="255"/>
      <c r="N103" s="256"/>
      <c r="O103" s="41">
        <f t="shared" si="7"/>
        <v>0</v>
      </c>
    </row>
    <row r="104" spans="5:15" ht="22.2" customHeight="1" thickBot="1" x14ac:dyDescent="0.25">
      <c r="E104" s="30"/>
      <c r="F104" s="44">
        <f t="shared" si="6"/>
        <v>0</v>
      </c>
      <c r="G104" s="256"/>
      <c r="H104" s="267"/>
      <c r="I104" s="80">
        <v>1</v>
      </c>
      <c r="J104" s="222"/>
      <c r="K104" s="223"/>
      <c r="L104" s="80">
        <v>2</v>
      </c>
      <c r="M104" s="255"/>
      <c r="N104" s="256"/>
      <c r="O104" s="41">
        <f t="shared" si="7"/>
        <v>1</v>
      </c>
    </row>
    <row r="105" spans="5:15" ht="28.2" customHeight="1" x14ac:dyDescent="0.2">
      <c r="E105" s="30"/>
    </row>
    <row r="106" spans="5:15" ht="28.2" customHeight="1" x14ac:dyDescent="0.2">
      <c r="E106" s="30"/>
    </row>
    <row r="107" spans="5:15" ht="28.2" customHeight="1" x14ac:dyDescent="0.2">
      <c r="E107" s="30"/>
    </row>
    <row r="108" spans="5:15" ht="28.2" customHeight="1" x14ac:dyDescent="0.2">
      <c r="E108" s="30"/>
    </row>
    <row r="109" spans="5:15" ht="28.2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tabSelected="1" topLeftCell="A4" zoomScale="80" zoomScaleNormal="80" zoomScaleSheetLayoutView="80" zoomScalePageLayoutView="80" workbookViewId="0">
      <selection activeCell="A4" sqref="A4:H4"/>
    </sheetView>
  </sheetViews>
  <sheetFormatPr baseColWidth="10" defaultColWidth="10.7265625" defaultRowHeight="15.6" outlineLevelCol="1" x14ac:dyDescent="0.2"/>
  <cols>
    <col min="1" max="1" width="10.7265625" style="97"/>
    <col min="2" max="2" width="50.7265625" style="97" customWidth="1"/>
    <col min="3" max="3" width="50.7265625" style="97" hidden="1" customWidth="1" outlineLevel="1"/>
    <col min="4" max="4" width="20.7265625" style="97" customWidth="1" collapsed="1"/>
    <col min="5" max="5" width="12.453125" style="97" customWidth="1"/>
    <col min="6" max="6" width="6" style="97" hidden="1" customWidth="1"/>
    <col min="7" max="7" width="5.7265625" style="97" customWidth="1"/>
    <col min="8" max="8" width="8.7265625" style="97" customWidth="1"/>
    <col min="9" max="9" width="2.90625" style="97" customWidth="1"/>
    <col min="10" max="10" width="15.453125" style="97" hidden="1" customWidth="1" outlineLevel="1"/>
    <col min="11" max="11" width="18.453125" style="97" hidden="1" customWidth="1" outlineLevel="1"/>
    <col min="12" max="12" width="31.90625" style="97" hidden="1" customWidth="1" outlineLevel="1"/>
    <col min="13" max="13" width="13.26953125" style="97" hidden="1" customWidth="1" outlineLevel="1"/>
    <col min="14" max="14" width="10.7265625" style="97" collapsed="1"/>
    <col min="15" max="15" width="10.7265625" style="97"/>
    <col min="16" max="16" width="2.453125" style="97" customWidth="1"/>
    <col min="17" max="16384" width="10.726562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20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20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PISTOLET - BOURGOGNE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200000000000003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20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5" customHeight="1" x14ac:dyDescent="0.2">
      <c r="A7" s="54">
        <v>1</v>
      </c>
      <c r="B7" s="55" t="str">
        <f>IF(A7="","",IF(P.F.!G98&gt;3,P.F.!G94,IF(P.F.!M98&gt;3,P.F.!L94,"")))</f>
        <v>TS CHATENOY LE ROYAL</v>
      </c>
      <c r="C7" s="55"/>
      <c r="D7" s="57">
        <f>IF(A7="","",VLOOKUP(B7,'M Q'!B$5:T$20,2,0))</f>
        <v>471185</v>
      </c>
      <c r="E7" s="182">
        <f>IF(A7="","",VLOOKUP(B7,'M Q'!B$5:T$20,18,0))</f>
        <v>496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5" customHeight="1" x14ac:dyDescent="0.2">
      <c r="A8" s="54">
        <f>IF(INFO!B8&gt;1,2,"")</f>
        <v>2</v>
      </c>
      <c r="B8" s="55" t="str">
        <f>IF(A8="","",IF(P.F.!G98&gt;3,P.F.!L94,IF(P.F.!M98&gt;3,P.F.!G94,"")))</f>
        <v>STEP CHALON S/SAONE</v>
      </c>
      <c r="C8" s="55"/>
      <c r="D8" s="57">
        <f>IF(A8="","",VLOOKUP(B8,'M Q'!B$5:T$20,2,0))</f>
        <v>471126</v>
      </c>
      <c r="E8" s="182">
        <f>IF(A8="","",VLOOKUP(B8,'M Q'!B$5:T$20,18,0))</f>
        <v>418</v>
      </c>
      <c r="F8" s="75">
        <f>IF(A8="","",VLOOKUP(B8,'M Q'!B$5:T$20,19,0))</f>
        <v>0</v>
      </c>
      <c r="G8" s="283"/>
      <c r="H8" s="19"/>
    </row>
    <row r="9" spans="1:18" s="100" customFormat="1" ht="25.95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5.95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5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5.95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5.95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5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5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5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5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5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5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5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5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5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5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5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5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5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5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5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5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5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5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5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5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5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5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5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5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5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5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5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5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5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5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5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5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5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4" x14ac:dyDescent="0.2"/>
    <row r="132" s="101" customFormat="1" ht="23.4" x14ac:dyDescent="0.2"/>
    <row r="133" s="101" customFormat="1" ht="23.4" x14ac:dyDescent="0.2"/>
    <row r="134" s="101" customFormat="1" ht="23.4" x14ac:dyDescent="0.2"/>
    <row r="135" s="101" customFormat="1" ht="23.4" x14ac:dyDescent="0.2"/>
    <row r="136" s="101" customFormat="1" ht="23.4" x14ac:dyDescent="0.2"/>
    <row r="137" s="101" customFormat="1" ht="23.4" x14ac:dyDescent="0.2"/>
    <row r="138" s="101" customFormat="1" ht="23.4" x14ac:dyDescent="0.2"/>
    <row r="139" s="101" customFormat="1" ht="23.4" x14ac:dyDescent="0.2"/>
    <row r="140" s="101" customFormat="1" ht="23.4" x14ac:dyDescent="0.2"/>
    <row r="141" s="101" customFormat="1" ht="23.4" x14ac:dyDescent="0.2"/>
    <row r="142" s="101" customFormat="1" ht="23.4" x14ac:dyDescent="0.2"/>
    <row r="143" s="101" customFormat="1" ht="23.4" x14ac:dyDescent="0.2"/>
    <row r="144" s="101" customFormat="1" ht="23.4" x14ac:dyDescent="0.2"/>
    <row r="145" s="101" customFormat="1" ht="23.4" x14ac:dyDescent="0.2"/>
    <row r="146" s="101" customFormat="1" ht="23.4" x14ac:dyDescent="0.2"/>
    <row r="147" s="101" customFormat="1" ht="23.4" x14ac:dyDescent="0.2"/>
    <row r="148" s="101" customFormat="1" ht="23.4" x14ac:dyDescent="0.2"/>
    <row r="149" s="101" customFormat="1" ht="23.4" x14ac:dyDescent="0.2"/>
    <row r="150" s="101" customFormat="1" ht="23.4" x14ac:dyDescent="0.2"/>
    <row r="151" s="101" customFormat="1" ht="23.4" x14ac:dyDescent="0.2"/>
    <row r="152" s="101" customFormat="1" ht="23.4" x14ac:dyDescent="0.2"/>
    <row r="153" s="101" customFormat="1" ht="23.4" x14ac:dyDescent="0.2"/>
    <row r="154" s="101" customFormat="1" ht="23.4" x14ac:dyDescent="0.2"/>
    <row r="155" s="101" customFormat="1" ht="23.4" x14ac:dyDescent="0.2"/>
    <row r="156" s="101" customFormat="1" ht="23.4" x14ac:dyDescent="0.2"/>
    <row r="157" s="101" customFormat="1" ht="23.4" x14ac:dyDescent="0.2"/>
    <row r="158" s="101" customFormat="1" ht="23.4" x14ac:dyDescent="0.2"/>
    <row r="159" s="101" customFormat="1" ht="23.4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Thierry Thevenet</cp:lastModifiedBy>
  <cp:lastPrinted>2014-10-14T08:39:11Z</cp:lastPrinted>
  <dcterms:created xsi:type="dcterms:W3CDTF">2004-11-19T11:01:00Z</dcterms:created>
  <dcterms:modified xsi:type="dcterms:W3CDTF">2018-01-29T10:05:17Z</dcterms:modified>
</cp:coreProperties>
</file>